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F:\SPREADSHEETS_AI\"/>
    </mc:Choice>
  </mc:AlternateContent>
  <xr:revisionPtr revIDLastSave="0" documentId="13_ncr:1_{55E556DE-B9BC-475F-8FD7-931AAFDBA413}" xr6:coauthVersionLast="47" xr6:coauthVersionMax="47" xr10:uidLastSave="{00000000-0000-0000-0000-000000000000}"/>
  <bookViews>
    <workbookView xWindow="28680" yWindow="-3225" windowWidth="29040" windowHeight="15720" xr2:uid="{17B93E3A-3D23-4B1D-855F-F05A3B6C6257}"/>
  </bookViews>
  <sheets>
    <sheet name="Column Estimator" sheetId="1" r:id="rId1"/>
    <sheet name="Reinforcemen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1" i="2" l="1"/>
  <c r="E40" i="2"/>
  <c r="F23" i="2"/>
  <c r="F24" i="2" s="1"/>
  <c r="C23" i="2"/>
  <c r="C24" i="2" s="1"/>
  <c r="B23" i="2"/>
  <c r="B24" i="2" s="1"/>
  <c r="C17" i="2"/>
  <c r="C16" i="2"/>
  <c r="B19" i="2" s="1"/>
  <c r="B16" i="2"/>
  <c r="B17" i="2" s="1"/>
  <c r="B11" i="2"/>
  <c r="D23" i="2" s="1"/>
  <c r="B10" i="2"/>
  <c r="D16" i="2" s="1"/>
  <c r="B34" i="1"/>
  <c r="B35" i="1" s="1"/>
  <c r="B36" i="1" s="1"/>
  <c r="B37" i="1" s="1"/>
  <c r="B45" i="1" s="1"/>
  <c r="B26" i="1"/>
  <c r="B27" i="1" s="1"/>
  <c r="B28" i="1" s="1"/>
  <c r="E16" i="2" l="1"/>
  <c r="D17" i="2"/>
  <c r="F16" i="2"/>
  <c r="F17" i="2" s="1"/>
  <c r="E17" i="2"/>
  <c r="G17" i="2" s="1"/>
  <c r="G30" i="2" s="1"/>
  <c r="E23" i="2"/>
  <c r="G23" i="2" s="1"/>
  <c r="D24" i="2"/>
  <c r="E24" i="2" s="1"/>
  <c r="G24" i="2" s="1"/>
  <c r="G31" i="2" s="1"/>
  <c r="G32" i="2" s="1"/>
  <c r="G33" i="2" s="1"/>
  <c r="G34" i="2" s="1"/>
  <c r="B30" i="1"/>
  <c r="B42" i="1" s="1"/>
  <c r="B29" i="1"/>
  <c r="G16" i="2" l="1"/>
  <c r="B43" i="1"/>
  <c r="G40" i="2"/>
  <c r="B44" i="1"/>
  <c r="G41" i="2"/>
  <c r="G36" i="2"/>
  <c r="B47" i="1" l="1"/>
  <c r="C45" i="1" s="1"/>
  <c r="G43" i="2"/>
  <c r="C42" i="1" l="1"/>
  <c r="C43" i="1"/>
  <c r="C44" i="1"/>
  <c r="B48" i="1"/>
  <c r="C47" i="1" l="1"/>
</calcChain>
</file>

<file path=xl/sharedStrings.xml><?xml version="1.0" encoding="utf-8"?>
<sst xmlns="http://schemas.openxmlformats.org/spreadsheetml/2006/main" count="177" uniqueCount="130">
  <si>
    <t>CONCRETE COLUMN ESTIMATOR</t>
  </si>
  <si>
    <t>Rectangular Column — Metric (SI) Units</t>
  </si>
  <si>
    <t>COLUMN DIMENSIONS &amp; INPUTS</t>
  </si>
  <si>
    <t>Parameter</t>
  </si>
  <si>
    <t>Value</t>
  </si>
  <si>
    <t>Unit</t>
  </si>
  <si>
    <t>Notes</t>
  </si>
  <si>
    <t>Column Width (b)</t>
  </si>
  <si>
    <t>mm</t>
  </si>
  <si>
    <t>Short dimension</t>
  </si>
  <si>
    <t>Column Depth (h)</t>
  </si>
  <si>
    <t>Long dimension</t>
  </si>
  <si>
    <t>Column Height (L)</t>
  </si>
  <si>
    <t>Floor-to-floor height</t>
  </si>
  <si>
    <t>Number of Columns</t>
  </si>
  <si>
    <t>nos</t>
  </si>
  <si>
    <t>Identical columns</t>
  </si>
  <si>
    <t>Concrete Cover</t>
  </si>
  <si>
    <t>Clear cover to ties</t>
  </si>
  <si>
    <t>Concrete Grade</t>
  </si>
  <si>
    <t>C30</t>
  </si>
  <si>
    <t>e.g., C20, C25, C30, C35</t>
  </si>
  <si>
    <t>Steel Grade</t>
  </si>
  <si>
    <t>MPa</t>
  </si>
  <si>
    <t>fy - yield strength</t>
  </si>
  <si>
    <t>Density of Steel</t>
  </si>
  <si>
    <t>kg/m³</t>
  </si>
  <si>
    <t>Unit weight of steel</t>
  </si>
  <si>
    <t>Density of Concrete</t>
  </si>
  <si>
    <t>Reinforced concrete</t>
  </si>
  <si>
    <t>UNIT COSTS</t>
  </si>
  <si>
    <t>Item</t>
  </si>
  <si>
    <t>Rate</t>
  </si>
  <si>
    <t>Concrete Supply</t>
  </si>
  <si>
    <t>Ready-mix delivered</t>
  </si>
  <si>
    <t>Concrete Placement</t>
  </si>
  <si>
    <t>Pour + vibration</t>
  </si>
  <si>
    <t>Reinforcement Steel</t>
  </si>
  <si>
    <t>Supply + cut + bend</t>
  </si>
  <si>
    <t>Steel Fixing Labour</t>
  </si>
  <si>
    <t>Tying &amp; placing</t>
  </si>
  <si>
    <t>Formwork</t>
  </si>
  <si>
    <t>Supply + erect + strip</t>
  </si>
  <si>
    <t>Php/m³</t>
  </si>
  <si>
    <t>Php/kg</t>
  </si>
  <si>
    <t>Php/m²</t>
  </si>
  <si>
    <t>CONCRETE QUANTITY &amp; COST</t>
  </si>
  <si>
    <t>Description</t>
  </si>
  <si>
    <t>Formula</t>
  </si>
  <si>
    <t>Cross-Sectional Area</t>
  </si>
  <si>
    <t>m²</t>
  </si>
  <si>
    <t>b × h</t>
  </si>
  <si>
    <t>Volume per Column</t>
  </si>
  <si>
    <t>m³</t>
  </si>
  <si>
    <t>Area × Height</t>
  </si>
  <si>
    <t>Total Concrete Volume</t>
  </si>
  <si>
    <t>Vol × No. of columns</t>
  </si>
  <si>
    <t>Concrete Weight</t>
  </si>
  <si>
    <t>kg</t>
  </si>
  <si>
    <t>Vol × Density</t>
  </si>
  <si>
    <t>Total Concrete Cost</t>
  </si>
  <si>
    <t>Php</t>
  </si>
  <si>
    <t>Vol × (Supply + Place)</t>
  </si>
  <si>
    <t>FORMWORK QUANTITY &amp; COST</t>
  </si>
  <si>
    <t>Perimeter of Column</t>
  </si>
  <si>
    <t>m</t>
  </si>
  <si>
    <t>2 × (b + h)</t>
  </si>
  <si>
    <t>Formwork Area per Column</t>
  </si>
  <si>
    <t>Perimeter × Height</t>
  </si>
  <si>
    <t>Total Formwork Area</t>
  </si>
  <si>
    <t>Area × No. of columns</t>
  </si>
  <si>
    <t>Total Formwork Cost</t>
  </si>
  <si>
    <t>Area × Rate</t>
  </si>
  <si>
    <t>COST SUMMARY</t>
  </si>
  <si>
    <t>Cost Item</t>
  </si>
  <si>
    <t>Amount (Php)</t>
  </si>
  <si>
    <t>% of Total</t>
  </si>
  <si>
    <t>Concrete (Supply + Place)</t>
  </si>
  <si>
    <t>From concrete section</t>
  </si>
  <si>
    <t>Reinforcement (Material)</t>
  </si>
  <si>
    <t>From reinforcement sheet</t>
  </si>
  <si>
    <t>Reinforcement (Labour)</t>
  </si>
  <si>
    <t>From formwork section</t>
  </si>
  <si>
    <t>GRAND TOTAL</t>
  </si>
  <si>
    <t>Cost per m³ of Concrete</t>
  </si>
  <si>
    <t>All-in rate per m³</t>
  </si>
  <si>
    <t>REINFORCEMENT SCHEDULE</t>
  </si>
  <si>
    <t>Rectangular Column — Linked to Column Estimator</t>
  </si>
  <si>
    <t>REINFORCEMENT INPUTS</t>
  </si>
  <si>
    <t>Main Bar Diameter</t>
  </si>
  <si>
    <t>Longitudinal bars</t>
  </si>
  <si>
    <t>Number of Main Bars</t>
  </si>
  <si>
    <t>Total bars in section</t>
  </si>
  <si>
    <t>Tie/Stirrup Diameter</t>
  </si>
  <si>
    <t>Lateral ties</t>
  </si>
  <si>
    <t>Tie Spacing</t>
  </si>
  <si>
    <t>Center-to-center</t>
  </si>
  <si>
    <t>Lap Splice Length</t>
  </si>
  <si>
    <t>40× bar dia (typical)</t>
  </si>
  <si>
    <t>Hook Length (ties)</t>
  </si>
  <si>
    <t>10× tie dia (135° hook)</t>
  </si>
  <si>
    <t>Wastage Allowance</t>
  </si>
  <si>
    <t>%</t>
  </si>
  <si>
    <t>5% cutting waste</t>
  </si>
  <si>
    <t>LONGITUDINAL (MAIN) BARS</t>
  </si>
  <si>
    <t>Bar Dia (mm)</t>
  </si>
  <si>
    <t>No. of Bars</t>
  </si>
  <si>
    <t>Length/Bar (mm)</t>
  </si>
  <si>
    <t>Total Length (m)</t>
  </si>
  <si>
    <t>Wt/m (kg/m)</t>
  </si>
  <si>
    <t>Total Wt (kg)</t>
  </si>
  <si>
    <t>Main bars (per column)</t>
  </si>
  <si>
    <t>Total main bars (all columns)</t>
  </si>
  <si>
    <t>Steel Ratio Check (ρ)</t>
  </si>
  <si>
    <t>(1% - 4% typical)</t>
  </si>
  <si>
    <t>TIES / STIRRUPS</t>
  </si>
  <si>
    <t>No. of Ties</t>
  </si>
  <si>
    <t>Length/Tie (mm)</t>
  </si>
  <si>
    <t>Ties (per column)</t>
  </si>
  <si>
    <t>Total ties (all columns)</t>
  </si>
  <si>
    <t>REINFORCEMENT SUMMARY</t>
  </si>
  <si>
    <t>Weight (kg)</t>
  </si>
  <si>
    <t>Main Bars (total)</t>
  </si>
  <si>
    <t>Ties/Stirrups (total)</t>
  </si>
  <si>
    <t>Subtotal Steel</t>
  </si>
  <si>
    <t>TOTAL STEEL WEIGHT</t>
  </si>
  <si>
    <t>Steel Ratio (kg/m³)</t>
  </si>
  <si>
    <t>REINFORCEMENT COST</t>
  </si>
  <si>
    <t>Steel Material</t>
  </si>
  <si>
    <t>TOTAL REBAR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</si>
</sst>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%"/>
  </numFmts>
  <fonts count="10" x14ac:knownFonts="1">
    <font>
      <sz val="11"/>
      <color theme="1"/>
      <name val="Aptos Narrow"/>
      <family val="2"/>
      <scheme val="minor"/>
    </font>
    <font>
      <b/>
      <sz val="16"/>
      <color rgb="FF1F4E79"/>
      <name val="Arial"/>
    </font>
    <font>
      <i/>
      <sz val="11"/>
      <color rgb="FF4472C4"/>
      <name val="Arial"/>
    </font>
    <font>
      <b/>
      <sz val="12"/>
      <color rgb="FFFFFFFF"/>
      <name val="Arial"/>
    </font>
    <font>
      <sz val="11"/>
      <color theme="1"/>
      <name val="Arial"/>
    </font>
    <font>
      <b/>
      <sz val="11"/>
      <color theme="1"/>
      <name val="Arial"/>
    </font>
    <font>
      <sz val="11"/>
      <color rgb="FF0000FF"/>
      <name val="Arial"/>
    </font>
    <font>
      <i/>
      <sz val="11"/>
      <color rgb="FF808080"/>
      <name val="Arial"/>
    </font>
    <font>
      <b/>
      <i/>
      <sz val="11"/>
      <color rgb="FF808080"/>
      <name val="Arial"/>
    </font>
    <font>
      <b/>
      <sz val="12"/>
      <color rgb="FF1F4E79"/>
      <name val="Arial"/>
    </font>
  </fonts>
  <fills count="6">
    <fill>
      <patternFill patternType="none"/>
    </fill>
    <fill>
      <patternFill patternType="gray125"/>
    </fill>
    <fill>
      <patternFill patternType="solid">
        <fgColor rgb="FF1F4E79"/>
        <bgColor indexed="64"/>
      </patternFill>
    </fill>
    <fill>
      <patternFill patternType="solid">
        <fgColor rgb="FFD6E4F0"/>
        <bgColor indexed="64"/>
      </patternFill>
    </fill>
    <fill>
      <patternFill patternType="solid">
        <fgColor rgb="FF2E75B6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0" xfId="0" applyFont="1" applyFill="1" applyAlignment="1">
      <alignment horizontal="left"/>
    </xf>
    <xf numFmtId="0" fontId="0" fillId="2" borderId="0" xfId="0" applyFill="1"/>
    <xf numFmtId="0" fontId="4" fillId="0" borderId="0" xfId="0" applyFont="1"/>
    <xf numFmtId="0" fontId="5" fillId="0" borderId="0" xfId="0" applyFont="1"/>
    <xf numFmtId="0" fontId="5" fillId="3" borderId="0" xfId="0" applyFont="1" applyFill="1"/>
    <xf numFmtId="0" fontId="5" fillId="3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3" fontId="6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/>
    <xf numFmtId="0" fontId="5" fillId="0" borderId="0" xfId="0" applyFont="1" applyAlignment="1">
      <alignment horizontal="center"/>
    </xf>
    <xf numFmtId="0" fontId="8" fillId="3" borderId="0" xfId="0" applyFont="1" applyFill="1"/>
    <xf numFmtId="4" fontId="6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3" fontId="4" fillId="0" borderId="0" xfId="0" applyNumberFormat="1" applyFont="1" applyAlignment="1">
      <alignment horizontal="center"/>
    </xf>
    <xf numFmtId="4" fontId="5" fillId="0" borderId="0" xfId="0" applyNumberFormat="1" applyFont="1" applyAlignment="1">
      <alignment horizontal="center"/>
    </xf>
    <xf numFmtId="0" fontId="3" fillId="4" borderId="0" xfId="0" applyFont="1" applyFill="1" applyAlignment="1">
      <alignment horizontal="left"/>
    </xf>
    <xf numFmtId="0" fontId="0" fillId="4" borderId="0" xfId="0" applyFill="1"/>
    <xf numFmtId="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center"/>
    </xf>
    <xf numFmtId="9" fontId="6" fillId="0" borderId="0" xfId="0" applyNumberFormat="1" applyFont="1" applyAlignment="1">
      <alignment horizontal="center"/>
    </xf>
    <xf numFmtId="0" fontId="8" fillId="3" borderId="0" xfId="0" applyFont="1" applyFill="1" applyAlignment="1">
      <alignment horizontal="center"/>
    </xf>
    <xf numFmtId="2" fontId="4" fillId="0" borderId="0" xfId="0" applyNumberFormat="1" applyFont="1" applyAlignment="1">
      <alignment horizontal="center"/>
    </xf>
    <xf numFmtId="10" fontId="5" fillId="0" borderId="0" xfId="0" applyNumberFormat="1" applyFont="1" applyAlignment="1">
      <alignment horizontal="center"/>
    </xf>
    <xf numFmtId="0" fontId="0" fillId="3" borderId="0" xfId="0" applyFill="1"/>
    <xf numFmtId="0" fontId="9" fillId="0" borderId="2" xfId="0" applyFont="1" applyBorder="1"/>
    <xf numFmtId="4" fontId="9" fillId="5" borderId="2" xfId="0" applyNumberFormat="1" applyFont="1" applyFill="1" applyBorder="1" applyAlignment="1">
      <alignment horizontal="center"/>
    </xf>
    <xf numFmtId="165" fontId="5" fillId="0" borderId="2" xfId="0" applyNumberFormat="1" applyFont="1" applyBorder="1" applyAlignment="1">
      <alignment horizontal="center"/>
    </xf>
    <xf numFmtId="0" fontId="0" fillId="0" borderId="2" xfId="0" applyBorder="1"/>
    <xf numFmtId="0" fontId="9" fillId="0" borderId="3" xfId="0" applyFont="1" applyBorder="1"/>
    <xf numFmtId="4" fontId="9" fillId="5" borderId="3" xfId="0" applyNumberFormat="1" applyFont="1" applyFill="1" applyBorder="1" applyAlignment="1">
      <alignment horizontal="center"/>
    </xf>
    <xf numFmtId="0" fontId="0" fillId="0" borderId="3" xfId="0" applyBorder="1"/>
    <xf numFmtId="0" fontId="5" fillId="0" borderId="4" xfId="0" applyFont="1" applyBorder="1"/>
    <xf numFmtId="4" fontId="5" fillId="0" borderId="4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7" fillId="0" borderId="4" xfId="0" applyFont="1" applyBorder="1"/>
    <xf numFmtId="0" fontId="5" fillId="0" borderId="1" xfId="0" applyFont="1" applyBorder="1"/>
    <xf numFmtId="16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7" fillId="0" borderId="1" xfId="0" applyFont="1" applyBorder="1"/>
    <xf numFmtId="0" fontId="5" fillId="0" borderId="5" xfId="0" applyFont="1" applyBorder="1"/>
    <xf numFmtId="164" fontId="5" fillId="0" borderId="5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7" fillId="0" borderId="5" xfId="0" applyFont="1" applyBorder="1"/>
    <xf numFmtId="0" fontId="5" fillId="0" borderId="6" xfId="0" applyFont="1" applyBorder="1"/>
    <xf numFmtId="4" fontId="5" fillId="0" borderId="6" xfId="0" applyNumberFormat="1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7" fillId="0" borderId="6" xfId="0" applyFont="1" applyBorder="1"/>
    <xf numFmtId="3" fontId="5" fillId="0" borderId="5" xfId="0" applyNumberFormat="1" applyFont="1" applyBorder="1" applyAlignment="1">
      <alignment horizontal="center"/>
    </xf>
    <xf numFmtId="2" fontId="5" fillId="0" borderId="5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1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544DCC5A-82B6-4AD6-B9BB-A04AF8084666}">
  <we:reference id="WA200009404" version="1.0.0.8" store="Omex" storeType="OMEX"/>
  <we:alternateReferences>
    <we:reference id="WA200009404" version="1.0.0.8" store="WA200009404" storeType="OMEX"/>
  </we:alternateReferences>
  <we:properties>
    <we:property name="Office.AutoShowTaskpaneWithDocument" value="true"/>
  </we:properties>
  <we:bindings/>
  <we:snapshot xmlns:r="http://schemas.openxmlformats.org/officeDocument/2006/relationships"/>
</we:webextensio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9C8121-105B-4EDE-99FD-2D5168EEDC8B}">
  <dimension ref="A1:H48"/>
  <sheetViews>
    <sheetView tabSelected="1" topLeftCell="A27" zoomScale="115" zoomScaleNormal="115" workbookViewId="0">
      <selection activeCell="K37" sqref="K37"/>
    </sheetView>
  </sheetViews>
  <sheetFormatPr defaultRowHeight="15" x14ac:dyDescent="0.25"/>
  <cols>
    <col min="1" max="1" width="40" customWidth="1"/>
    <col min="2" max="2" width="21" customWidth="1"/>
    <col min="3" max="3" width="15.28515625" customWidth="1"/>
    <col min="4" max="4" width="33.28515625" customWidth="1"/>
  </cols>
  <sheetData>
    <row r="1" spans="1:8" ht="20.25" x14ac:dyDescent="0.3">
      <c r="A1" s="1" t="s">
        <v>0</v>
      </c>
    </row>
    <row r="2" spans="1:8" x14ac:dyDescent="0.25">
      <c r="A2" s="2" t="s">
        <v>1</v>
      </c>
    </row>
    <row r="4" spans="1:8" ht="15.75" x14ac:dyDescent="0.25">
      <c r="A4" s="3" t="s">
        <v>2</v>
      </c>
      <c r="B4" s="4"/>
      <c r="C4" s="4"/>
      <c r="D4" s="4"/>
      <c r="E4" s="4"/>
      <c r="F4" s="4"/>
      <c r="G4" s="4"/>
      <c r="H4" s="4"/>
    </row>
    <row r="5" spans="1:8" x14ac:dyDescent="0.25">
      <c r="A5" s="7" t="s">
        <v>3</v>
      </c>
      <c r="B5" s="8" t="s">
        <v>4</v>
      </c>
      <c r="C5" s="8" t="s">
        <v>5</v>
      </c>
      <c r="D5" s="7" t="s">
        <v>6</v>
      </c>
    </row>
    <row r="6" spans="1:8" x14ac:dyDescent="0.25">
      <c r="A6" s="5" t="s">
        <v>7</v>
      </c>
      <c r="B6" s="10">
        <v>500</v>
      </c>
      <c r="C6" s="11" t="s">
        <v>8</v>
      </c>
      <c r="D6" s="12" t="s">
        <v>9</v>
      </c>
    </row>
    <row r="7" spans="1:8" x14ac:dyDescent="0.25">
      <c r="A7" s="5" t="s">
        <v>10</v>
      </c>
      <c r="B7" s="10">
        <v>600</v>
      </c>
      <c r="C7" s="11" t="s">
        <v>8</v>
      </c>
      <c r="D7" s="12" t="s">
        <v>11</v>
      </c>
    </row>
    <row r="8" spans="1:8" x14ac:dyDescent="0.25">
      <c r="A8" s="5" t="s">
        <v>12</v>
      </c>
      <c r="B8" s="10">
        <v>4500</v>
      </c>
      <c r="C8" s="11" t="s">
        <v>8</v>
      </c>
      <c r="D8" s="12" t="s">
        <v>13</v>
      </c>
    </row>
    <row r="9" spans="1:8" x14ac:dyDescent="0.25">
      <c r="A9" s="5" t="s">
        <v>14</v>
      </c>
      <c r="B9" s="10">
        <v>1</v>
      </c>
      <c r="C9" s="11" t="s">
        <v>15</v>
      </c>
      <c r="D9" s="12" t="s">
        <v>16</v>
      </c>
    </row>
    <row r="10" spans="1:8" x14ac:dyDescent="0.25">
      <c r="A10" s="5" t="s">
        <v>17</v>
      </c>
      <c r="B10" s="10">
        <v>40</v>
      </c>
      <c r="C10" s="11" t="s">
        <v>8</v>
      </c>
      <c r="D10" s="12" t="s">
        <v>18</v>
      </c>
    </row>
    <row r="11" spans="1:8" x14ac:dyDescent="0.25">
      <c r="A11" s="5" t="s">
        <v>19</v>
      </c>
      <c r="B11" s="9" t="s">
        <v>20</v>
      </c>
      <c r="C11" s="11"/>
      <c r="D11" s="12" t="s">
        <v>21</v>
      </c>
    </row>
    <row r="12" spans="1:8" x14ac:dyDescent="0.25">
      <c r="A12" s="5" t="s">
        <v>22</v>
      </c>
      <c r="B12" s="10">
        <v>420</v>
      </c>
      <c r="C12" s="11" t="s">
        <v>23</v>
      </c>
      <c r="D12" s="12" t="s">
        <v>24</v>
      </c>
    </row>
    <row r="13" spans="1:8" x14ac:dyDescent="0.25">
      <c r="A13" s="5" t="s">
        <v>25</v>
      </c>
      <c r="B13" s="10">
        <v>7850</v>
      </c>
      <c r="C13" s="11" t="s">
        <v>26</v>
      </c>
      <c r="D13" s="12" t="s">
        <v>27</v>
      </c>
    </row>
    <row r="14" spans="1:8" x14ac:dyDescent="0.25">
      <c r="A14" s="5" t="s">
        <v>28</v>
      </c>
      <c r="B14" s="10">
        <v>2400</v>
      </c>
      <c r="C14" s="11" t="s">
        <v>26</v>
      </c>
      <c r="D14" s="12" t="s">
        <v>29</v>
      </c>
    </row>
    <row r="16" spans="1:8" ht="15.75" x14ac:dyDescent="0.25">
      <c r="A16" s="3" t="s">
        <v>30</v>
      </c>
      <c r="B16" s="4"/>
      <c r="C16" s="4"/>
      <c r="D16" s="4"/>
      <c r="E16" s="4"/>
      <c r="F16" s="4"/>
      <c r="G16" s="4"/>
      <c r="H16" s="4"/>
    </row>
    <row r="17" spans="1:8" x14ac:dyDescent="0.25">
      <c r="A17" s="7" t="s">
        <v>31</v>
      </c>
      <c r="B17" s="8" t="s">
        <v>32</v>
      </c>
      <c r="C17" s="8" t="s">
        <v>5</v>
      </c>
      <c r="D17" s="14" t="s">
        <v>6</v>
      </c>
    </row>
    <row r="18" spans="1:8" x14ac:dyDescent="0.25">
      <c r="A18" s="5" t="s">
        <v>33</v>
      </c>
      <c r="B18" s="15">
        <v>5000</v>
      </c>
      <c r="C18" s="11" t="s">
        <v>43</v>
      </c>
      <c r="D18" s="12" t="s">
        <v>34</v>
      </c>
    </row>
    <row r="19" spans="1:8" x14ac:dyDescent="0.25">
      <c r="A19" s="5" t="s">
        <v>35</v>
      </c>
      <c r="B19" s="15">
        <v>35</v>
      </c>
      <c r="C19" s="11" t="s">
        <v>43</v>
      </c>
      <c r="D19" s="12" t="s">
        <v>36</v>
      </c>
    </row>
    <row r="20" spans="1:8" x14ac:dyDescent="0.25">
      <c r="A20" s="5" t="s">
        <v>37</v>
      </c>
      <c r="B20" s="15">
        <v>1.2</v>
      </c>
      <c r="C20" s="11" t="s">
        <v>44</v>
      </c>
      <c r="D20" s="12" t="s">
        <v>38</v>
      </c>
    </row>
    <row r="21" spans="1:8" x14ac:dyDescent="0.25">
      <c r="A21" s="5" t="s">
        <v>39</v>
      </c>
      <c r="B21" s="15">
        <v>0.45</v>
      </c>
      <c r="C21" s="11" t="s">
        <v>44</v>
      </c>
      <c r="D21" s="12" t="s">
        <v>40</v>
      </c>
    </row>
    <row r="22" spans="1:8" x14ac:dyDescent="0.25">
      <c r="A22" s="5" t="s">
        <v>41</v>
      </c>
      <c r="B22" s="15">
        <v>45</v>
      </c>
      <c r="C22" s="11" t="s">
        <v>45</v>
      </c>
      <c r="D22" s="12" t="s">
        <v>42</v>
      </c>
    </row>
    <row r="24" spans="1:8" ht="15.75" x14ac:dyDescent="0.25">
      <c r="A24" s="3" t="s">
        <v>46</v>
      </c>
      <c r="B24" s="4"/>
      <c r="C24" s="4"/>
      <c r="D24" s="4"/>
      <c r="E24" s="4"/>
      <c r="F24" s="4"/>
      <c r="G24" s="4"/>
      <c r="H24" s="4"/>
    </row>
    <row r="25" spans="1:8" x14ac:dyDescent="0.25">
      <c r="A25" s="7" t="s">
        <v>47</v>
      </c>
      <c r="B25" s="8" t="s">
        <v>4</v>
      </c>
      <c r="C25" s="8" t="s">
        <v>5</v>
      </c>
      <c r="D25" s="14" t="s">
        <v>48</v>
      </c>
    </row>
    <row r="26" spans="1:8" x14ac:dyDescent="0.25">
      <c r="A26" s="5" t="s">
        <v>49</v>
      </c>
      <c r="B26" s="16">
        <f>(B6*B7)/1000000</f>
        <v>0.3</v>
      </c>
      <c r="C26" s="11" t="s">
        <v>50</v>
      </c>
      <c r="D26" s="12" t="s">
        <v>51</v>
      </c>
    </row>
    <row r="27" spans="1:8" x14ac:dyDescent="0.25">
      <c r="A27" s="5" t="s">
        <v>52</v>
      </c>
      <c r="B27" s="16">
        <f>B26*(B8/1000)</f>
        <v>1.3499999999999999</v>
      </c>
      <c r="C27" s="11" t="s">
        <v>53</v>
      </c>
      <c r="D27" s="12" t="s">
        <v>54</v>
      </c>
    </row>
    <row r="28" spans="1:8" x14ac:dyDescent="0.25">
      <c r="A28" s="43" t="s">
        <v>55</v>
      </c>
      <c r="B28" s="44">
        <f>B27*B9</f>
        <v>1.3499999999999999</v>
      </c>
      <c r="C28" s="45" t="s">
        <v>53</v>
      </c>
      <c r="D28" s="46" t="s">
        <v>56</v>
      </c>
    </row>
    <row r="29" spans="1:8" x14ac:dyDescent="0.25">
      <c r="A29" s="5" t="s">
        <v>57</v>
      </c>
      <c r="B29" s="17">
        <f>B28*B14</f>
        <v>3239.9999999999995</v>
      </c>
      <c r="C29" s="11" t="s">
        <v>58</v>
      </c>
      <c r="D29" s="12" t="s">
        <v>59</v>
      </c>
    </row>
    <row r="30" spans="1:8" x14ac:dyDescent="0.25">
      <c r="A30" s="6" t="s">
        <v>60</v>
      </c>
      <c r="B30" s="18">
        <f>B28*(B18+B19)</f>
        <v>6797.2499999999991</v>
      </c>
      <c r="C30" s="13" t="s">
        <v>61</v>
      </c>
      <c r="D30" s="12" t="s">
        <v>62</v>
      </c>
    </row>
    <row r="32" spans="1:8" ht="15.75" x14ac:dyDescent="0.25">
      <c r="A32" s="3" t="s">
        <v>63</v>
      </c>
      <c r="B32" s="4"/>
      <c r="C32" s="4"/>
      <c r="D32" s="4"/>
      <c r="E32" s="4"/>
      <c r="F32" s="4"/>
      <c r="G32" s="4"/>
      <c r="H32" s="4"/>
    </row>
    <row r="33" spans="1:8" x14ac:dyDescent="0.25">
      <c r="A33" s="7" t="s">
        <v>47</v>
      </c>
      <c r="B33" s="8" t="s">
        <v>4</v>
      </c>
      <c r="C33" s="8" t="s">
        <v>5</v>
      </c>
      <c r="D33" s="14" t="s">
        <v>48</v>
      </c>
    </row>
    <row r="34" spans="1:8" x14ac:dyDescent="0.25">
      <c r="A34" s="5" t="s">
        <v>64</v>
      </c>
      <c r="B34" s="16">
        <f>2*(B6+B7)/1000</f>
        <v>2.2000000000000002</v>
      </c>
      <c r="C34" s="11" t="s">
        <v>65</v>
      </c>
      <c r="D34" s="12" t="s">
        <v>66</v>
      </c>
    </row>
    <row r="35" spans="1:8" x14ac:dyDescent="0.25">
      <c r="A35" s="5" t="s">
        <v>67</v>
      </c>
      <c r="B35" s="16">
        <f>B34*(B8/1000)</f>
        <v>9.9</v>
      </c>
      <c r="C35" s="11" t="s">
        <v>50</v>
      </c>
      <c r="D35" s="12" t="s">
        <v>68</v>
      </c>
    </row>
    <row r="36" spans="1:8" x14ac:dyDescent="0.25">
      <c r="A36" s="39" t="s">
        <v>69</v>
      </c>
      <c r="B36" s="40">
        <f>B35*B9</f>
        <v>9.9</v>
      </c>
      <c r="C36" s="41" t="s">
        <v>50</v>
      </c>
      <c r="D36" s="42" t="s">
        <v>70</v>
      </c>
    </row>
    <row r="37" spans="1:8" x14ac:dyDescent="0.25">
      <c r="A37" s="47" t="s">
        <v>71</v>
      </c>
      <c r="B37" s="48">
        <f>B36*B22</f>
        <v>445.5</v>
      </c>
      <c r="C37" s="49" t="s">
        <v>61</v>
      </c>
      <c r="D37" s="50" t="s">
        <v>72</v>
      </c>
    </row>
    <row r="40" spans="1:8" ht="15.75" x14ac:dyDescent="0.25">
      <c r="A40" s="19" t="s">
        <v>73</v>
      </c>
      <c r="B40" s="20"/>
      <c r="C40" s="20"/>
      <c r="D40" s="20"/>
      <c r="E40" s="20"/>
      <c r="F40" s="20"/>
      <c r="G40" s="20"/>
      <c r="H40" s="20"/>
    </row>
    <row r="41" spans="1:8" x14ac:dyDescent="0.25">
      <c r="A41" s="7" t="s">
        <v>74</v>
      </c>
      <c r="B41" s="8" t="s">
        <v>75</v>
      </c>
      <c r="C41" s="8" t="s">
        <v>76</v>
      </c>
      <c r="D41" s="7" t="s">
        <v>6</v>
      </c>
    </row>
    <row r="42" spans="1:8" x14ac:dyDescent="0.25">
      <c r="A42" s="5" t="s">
        <v>77</v>
      </c>
      <c r="B42" s="21">
        <f>B30</f>
        <v>6797.2499999999991</v>
      </c>
      <c r="C42" s="22">
        <f>IF(B47=0,0,B42/B47)</f>
        <v>0.84146009873308403</v>
      </c>
      <c r="D42" s="12" t="s">
        <v>78</v>
      </c>
    </row>
    <row r="43" spans="1:8" x14ac:dyDescent="0.25">
      <c r="A43" s="5" t="s">
        <v>79</v>
      </c>
      <c r="B43" s="21">
        <f>Reinforcement!G34*B20</f>
        <v>607.39864472938723</v>
      </c>
      <c r="C43" s="22">
        <f>IF(B47=0,0,B43/B47)</f>
        <v>7.5192426873269574E-2</v>
      </c>
      <c r="D43" s="12" t="s">
        <v>80</v>
      </c>
    </row>
    <row r="44" spans="1:8" x14ac:dyDescent="0.25">
      <c r="A44" s="5" t="s">
        <v>81</v>
      </c>
      <c r="B44" s="21">
        <f>Reinforcement!G34*B21</f>
        <v>227.77449177352023</v>
      </c>
      <c r="C44" s="22">
        <f>IF(B47=0,0,B44/B47)</f>
        <v>2.8197160077476094E-2</v>
      </c>
      <c r="D44" s="12" t="s">
        <v>80</v>
      </c>
    </row>
    <row r="45" spans="1:8" x14ac:dyDescent="0.25">
      <c r="A45" s="5" t="s">
        <v>41</v>
      </c>
      <c r="B45" s="21">
        <f>B37</f>
        <v>445.5</v>
      </c>
      <c r="C45" s="22">
        <f>IF(B47=0,0,B45/B47)</f>
        <v>5.515031431617036E-2</v>
      </c>
      <c r="D45" s="12" t="s">
        <v>82</v>
      </c>
    </row>
    <row r="46" spans="1:8" ht="15.75" thickBot="1" x14ac:dyDescent="0.3">
      <c r="A46" s="5"/>
    </row>
    <row r="47" spans="1:8" ht="16.5" thickBot="1" x14ac:dyDescent="0.3">
      <c r="A47" s="28" t="s">
        <v>83</v>
      </c>
      <c r="B47" s="29">
        <f>SUM(B42:B45)</f>
        <v>8077.9231365029063</v>
      </c>
      <c r="C47" s="30">
        <f>SUM(C42:C45)</f>
        <v>1</v>
      </c>
      <c r="D47" s="31"/>
    </row>
    <row r="48" spans="1:8" ht="15.75" thickTop="1" x14ac:dyDescent="0.25">
      <c r="A48" s="35" t="s">
        <v>84</v>
      </c>
      <c r="B48" s="36">
        <f>IF(B28=0,0,B47/B28)</f>
        <v>5983.646767779931</v>
      </c>
      <c r="C48" s="37" t="s">
        <v>43</v>
      </c>
      <c r="D48" s="38" t="s">
        <v>85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12E50-B706-4FCF-A6B1-D3D7E6390F37}">
  <dimension ref="A1:H44"/>
  <sheetViews>
    <sheetView workbookViewId="0">
      <selection activeCell="L12" sqref="L12"/>
    </sheetView>
  </sheetViews>
  <sheetFormatPr defaultRowHeight="15" x14ac:dyDescent="0.25"/>
  <cols>
    <col min="1" max="1" width="38.140625" customWidth="1"/>
    <col min="2" max="7" width="21" customWidth="1"/>
  </cols>
  <sheetData>
    <row r="1" spans="1:8" ht="20.25" x14ac:dyDescent="0.3">
      <c r="A1" s="1" t="s">
        <v>86</v>
      </c>
    </row>
    <row r="2" spans="1:8" x14ac:dyDescent="0.25">
      <c r="A2" s="2" t="s">
        <v>87</v>
      </c>
    </row>
    <row r="4" spans="1:8" ht="15.75" x14ac:dyDescent="0.25">
      <c r="A4" s="3" t="s">
        <v>88</v>
      </c>
      <c r="B4" s="4"/>
      <c r="C4" s="4"/>
      <c r="D4" s="4"/>
      <c r="E4" s="4"/>
      <c r="F4" s="4"/>
      <c r="G4" s="4"/>
      <c r="H4" s="4"/>
    </row>
    <row r="5" spans="1:8" x14ac:dyDescent="0.25">
      <c r="A5" s="7" t="s">
        <v>3</v>
      </c>
      <c r="B5" s="8" t="s">
        <v>4</v>
      </c>
      <c r="C5" s="8" t="s">
        <v>5</v>
      </c>
      <c r="D5" s="7" t="s">
        <v>6</v>
      </c>
    </row>
    <row r="6" spans="1:8" x14ac:dyDescent="0.25">
      <c r="A6" s="5" t="s">
        <v>89</v>
      </c>
      <c r="B6" s="10">
        <v>32</v>
      </c>
      <c r="C6" s="11" t="s">
        <v>8</v>
      </c>
      <c r="D6" s="12" t="s">
        <v>90</v>
      </c>
    </row>
    <row r="7" spans="1:8" x14ac:dyDescent="0.25">
      <c r="A7" s="5" t="s">
        <v>91</v>
      </c>
      <c r="B7" s="10">
        <v>12</v>
      </c>
      <c r="C7" s="11" t="s">
        <v>15</v>
      </c>
      <c r="D7" s="12" t="s">
        <v>92</v>
      </c>
    </row>
    <row r="8" spans="1:8" x14ac:dyDescent="0.25">
      <c r="A8" s="5" t="s">
        <v>93</v>
      </c>
      <c r="B8" s="10">
        <v>12</v>
      </c>
      <c r="C8" s="11" t="s">
        <v>8</v>
      </c>
      <c r="D8" s="12" t="s">
        <v>94</v>
      </c>
    </row>
    <row r="9" spans="1:8" x14ac:dyDescent="0.25">
      <c r="A9" s="5" t="s">
        <v>95</v>
      </c>
      <c r="B9" s="10">
        <v>150</v>
      </c>
      <c r="C9" s="11" t="s">
        <v>8</v>
      </c>
      <c r="D9" s="12" t="s">
        <v>96</v>
      </c>
    </row>
    <row r="10" spans="1:8" x14ac:dyDescent="0.25">
      <c r="A10" s="5" t="s">
        <v>97</v>
      </c>
      <c r="B10" s="17">
        <f>40*B6</f>
        <v>1280</v>
      </c>
      <c r="C10" s="11" t="s">
        <v>8</v>
      </c>
      <c r="D10" s="12" t="s">
        <v>98</v>
      </c>
    </row>
    <row r="11" spans="1:8" x14ac:dyDescent="0.25">
      <c r="A11" s="5" t="s">
        <v>99</v>
      </c>
      <c r="B11" s="17">
        <f>10*B8</f>
        <v>120</v>
      </c>
      <c r="C11" s="11" t="s">
        <v>8</v>
      </c>
      <c r="D11" s="12" t="s">
        <v>100</v>
      </c>
    </row>
    <row r="12" spans="1:8" x14ac:dyDescent="0.25">
      <c r="A12" s="5" t="s">
        <v>101</v>
      </c>
      <c r="B12" s="23">
        <v>0.02</v>
      </c>
      <c r="C12" s="11" t="s">
        <v>102</v>
      </c>
      <c r="D12" s="12" t="s">
        <v>103</v>
      </c>
    </row>
    <row r="14" spans="1:8" ht="15.75" x14ac:dyDescent="0.25">
      <c r="A14" s="3" t="s">
        <v>104</v>
      </c>
      <c r="B14" s="4"/>
      <c r="C14" s="4"/>
      <c r="D14" s="4"/>
      <c r="E14" s="4"/>
      <c r="F14" s="4"/>
      <c r="G14" s="4"/>
      <c r="H14" s="4"/>
    </row>
    <row r="15" spans="1:8" x14ac:dyDescent="0.25">
      <c r="A15" s="7" t="s">
        <v>47</v>
      </c>
      <c r="B15" s="8" t="s">
        <v>105</v>
      </c>
      <c r="C15" s="8" t="s">
        <v>106</v>
      </c>
      <c r="D15" s="24" t="s">
        <v>107</v>
      </c>
      <c r="E15" s="8" t="s">
        <v>108</v>
      </c>
      <c r="F15" s="8" t="s">
        <v>109</v>
      </c>
      <c r="G15" s="8" t="s">
        <v>110</v>
      </c>
    </row>
    <row r="16" spans="1:8" x14ac:dyDescent="0.25">
      <c r="A16" s="5" t="s">
        <v>111</v>
      </c>
      <c r="B16" s="17">
        <f>B6</f>
        <v>32</v>
      </c>
      <c r="C16" s="17">
        <f>B7</f>
        <v>12</v>
      </c>
      <c r="D16" s="17">
        <f>'Column Estimator'!B8+B10</f>
        <v>5780</v>
      </c>
      <c r="E16" s="25">
        <f>C16*D16/1000</f>
        <v>69.36</v>
      </c>
      <c r="F16" s="16">
        <f>(B16/1000)^2*PI()/4*'Column Estimator'!B13</f>
        <v>6.3133445966540478</v>
      </c>
      <c r="G16" s="25">
        <f>E16*F16</f>
        <v>437.89358122392474</v>
      </c>
    </row>
    <row r="17" spans="1:8" x14ac:dyDescent="0.25">
      <c r="A17" s="43" t="s">
        <v>112</v>
      </c>
      <c r="B17" s="51">
        <f>B16</f>
        <v>32</v>
      </c>
      <c r="C17" s="51">
        <f>C16*'Column Estimator'!B9</f>
        <v>12</v>
      </c>
      <c r="D17" s="51">
        <f>D16</f>
        <v>5780</v>
      </c>
      <c r="E17" s="52">
        <f>C17*D17/1000</f>
        <v>69.36</v>
      </c>
      <c r="F17" s="44">
        <f>F16</f>
        <v>6.3133445966540478</v>
      </c>
      <c r="G17" s="52">
        <f>E17*F17</f>
        <v>437.89358122392474</v>
      </c>
    </row>
    <row r="18" spans="1:8" x14ac:dyDescent="0.25">
      <c r="A18" s="5"/>
    </row>
    <row r="19" spans="1:8" x14ac:dyDescent="0.25">
      <c r="A19" s="6" t="s">
        <v>113</v>
      </c>
      <c r="B19" s="26">
        <f>C16*PI()*(B6/2)^2/('Column Estimator'!B6*'Column Estimator'!B7)</f>
        <v>3.2169908772759478E-2</v>
      </c>
      <c r="C19" s="12" t="s">
        <v>114</v>
      </c>
    </row>
    <row r="21" spans="1:8" ht="15.75" x14ac:dyDescent="0.25">
      <c r="A21" s="3" t="s">
        <v>115</v>
      </c>
      <c r="B21" s="4"/>
      <c r="C21" s="4"/>
      <c r="D21" s="4"/>
      <c r="E21" s="4"/>
      <c r="F21" s="4"/>
      <c r="G21" s="4"/>
      <c r="H21" s="4"/>
    </row>
    <row r="22" spans="1:8" x14ac:dyDescent="0.25">
      <c r="A22" s="7" t="s">
        <v>47</v>
      </c>
      <c r="B22" s="8" t="s">
        <v>105</v>
      </c>
      <c r="C22" s="8" t="s">
        <v>116</v>
      </c>
      <c r="D22" s="8" t="s">
        <v>117</v>
      </c>
      <c r="E22" s="8" t="s">
        <v>108</v>
      </c>
      <c r="F22" s="8" t="s">
        <v>109</v>
      </c>
      <c r="G22" s="8" t="s">
        <v>110</v>
      </c>
    </row>
    <row r="23" spans="1:8" x14ac:dyDescent="0.25">
      <c r="A23" s="5" t="s">
        <v>118</v>
      </c>
      <c r="B23" s="17">
        <f>B8</f>
        <v>12</v>
      </c>
      <c r="C23" s="17">
        <f>INT('Column Estimator'!B8/B9)+1</f>
        <v>31</v>
      </c>
      <c r="D23" s="17">
        <f>2*(('Column Estimator'!B6-2*'Column Estimator'!B10)+ ('Column Estimator'!B7-2*'Column Estimator'!B10))+2*B11</f>
        <v>2120</v>
      </c>
      <c r="E23" s="25">
        <f>C23*D23/1000</f>
        <v>65.72</v>
      </c>
      <c r="F23" s="16">
        <f>(B23/1000)^2*PI()/4*'Column Estimator'!B13</f>
        <v>0.88781408390447547</v>
      </c>
      <c r="G23" s="25">
        <f>E23*F23</f>
        <v>58.347141594202128</v>
      </c>
    </row>
    <row r="24" spans="1:8" x14ac:dyDescent="0.25">
      <c r="A24" s="43" t="s">
        <v>119</v>
      </c>
      <c r="B24" s="51">
        <f>B23</f>
        <v>12</v>
      </c>
      <c r="C24" s="51">
        <f>C23*'Column Estimator'!B9</f>
        <v>31</v>
      </c>
      <c r="D24" s="51">
        <f>D23</f>
        <v>2120</v>
      </c>
      <c r="E24" s="52">
        <f>C24*D24/1000</f>
        <v>65.72</v>
      </c>
      <c r="F24" s="44">
        <f>F23</f>
        <v>0.88781408390447547</v>
      </c>
      <c r="G24" s="52">
        <f>E24*F24</f>
        <v>58.347141594202128</v>
      </c>
    </row>
    <row r="28" spans="1:8" ht="15.75" x14ac:dyDescent="0.25">
      <c r="A28" s="19" t="s">
        <v>120</v>
      </c>
      <c r="B28" s="20"/>
      <c r="C28" s="20"/>
      <c r="D28" s="20"/>
      <c r="E28" s="20"/>
      <c r="F28" s="20"/>
      <c r="G28" s="20"/>
      <c r="H28" s="20"/>
    </row>
    <row r="29" spans="1:8" x14ac:dyDescent="0.25">
      <c r="A29" s="7" t="s">
        <v>47</v>
      </c>
      <c r="B29" s="27"/>
      <c r="C29" s="27"/>
      <c r="D29" s="27"/>
      <c r="E29" s="27"/>
      <c r="F29" s="27"/>
      <c r="G29" s="8" t="s">
        <v>121</v>
      </c>
    </row>
    <row r="30" spans="1:8" x14ac:dyDescent="0.25">
      <c r="A30" s="5" t="s">
        <v>122</v>
      </c>
      <c r="G30" s="21">
        <f>G17</f>
        <v>437.89358122392474</v>
      </c>
    </row>
    <row r="31" spans="1:8" x14ac:dyDescent="0.25">
      <c r="A31" s="5" t="s">
        <v>123</v>
      </c>
      <c r="G31" s="21">
        <f>G24</f>
        <v>58.347141594202128</v>
      </c>
    </row>
    <row r="32" spans="1:8" x14ac:dyDescent="0.25">
      <c r="A32" s="6" t="s">
        <v>124</v>
      </c>
      <c r="G32" s="18">
        <f>G30+G31</f>
        <v>496.24072281812687</v>
      </c>
    </row>
    <row r="33" spans="1:8" ht="15.75" thickBot="1" x14ac:dyDescent="0.3">
      <c r="A33" s="5" t="s">
        <v>101</v>
      </c>
      <c r="G33" s="21">
        <f>G32*B12</f>
        <v>9.9248144563625385</v>
      </c>
    </row>
    <row r="34" spans="1:8" ht="16.5" thickBot="1" x14ac:dyDescent="0.3">
      <c r="A34" s="32" t="s">
        <v>125</v>
      </c>
      <c r="B34" s="34"/>
      <c r="C34" s="34"/>
      <c r="D34" s="34"/>
      <c r="E34" s="34"/>
      <c r="F34" s="34"/>
      <c r="G34" s="33">
        <f>G32+G33</f>
        <v>506.1655372744894</v>
      </c>
    </row>
    <row r="35" spans="1:8" ht="15.75" thickTop="1" x14ac:dyDescent="0.25"/>
    <row r="36" spans="1:8" x14ac:dyDescent="0.25">
      <c r="A36" s="6" t="s">
        <v>126</v>
      </c>
      <c r="G36" s="18">
        <f>IF('Column Estimator'!B28=0,0,G34/'Column Estimator'!B28)</f>
        <v>374.93743501814032</v>
      </c>
    </row>
    <row r="38" spans="1:8" ht="15.75" x14ac:dyDescent="0.25">
      <c r="A38" s="19" t="s">
        <v>127</v>
      </c>
      <c r="B38" s="20"/>
      <c r="C38" s="20"/>
      <c r="D38" s="20"/>
      <c r="E38" s="20"/>
      <c r="F38" s="20"/>
      <c r="G38" s="20"/>
      <c r="H38" s="20"/>
    </row>
    <row r="39" spans="1:8" x14ac:dyDescent="0.25">
      <c r="A39" s="7" t="s">
        <v>74</v>
      </c>
      <c r="B39" s="27"/>
      <c r="C39" s="27"/>
      <c r="D39" s="27"/>
      <c r="E39" s="8" t="s">
        <v>32</v>
      </c>
      <c r="F39" s="8" t="s">
        <v>5</v>
      </c>
      <c r="G39" s="8" t="s">
        <v>75</v>
      </c>
    </row>
    <row r="40" spans="1:8" x14ac:dyDescent="0.25">
      <c r="A40" s="5" t="s">
        <v>128</v>
      </c>
      <c r="E40" s="21">
        <f>'Column Estimator'!B20</f>
        <v>1.2</v>
      </c>
      <c r="F40" s="11" t="s">
        <v>44</v>
      </c>
      <c r="G40" s="21">
        <f>G34*E40</f>
        <v>607.39864472938723</v>
      </c>
    </row>
    <row r="41" spans="1:8" x14ac:dyDescent="0.25">
      <c r="A41" s="5" t="s">
        <v>39</v>
      </c>
      <c r="E41" s="21">
        <f>'Column Estimator'!B21</f>
        <v>0.45</v>
      </c>
      <c r="F41" s="11" t="s">
        <v>44</v>
      </c>
      <c r="G41" s="21">
        <f>G34*E41</f>
        <v>227.77449177352023</v>
      </c>
    </row>
    <row r="42" spans="1:8" ht="15.75" thickBot="1" x14ac:dyDescent="0.3"/>
    <row r="43" spans="1:8" ht="16.5" thickBot="1" x14ac:dyDescent="0.3">
      <c r="A43" s="32" t="s">
        <v>129</v>
      </c>
      <c r="B43" s="34"/>
      <c r="C43" s="34"/>
      <c r="D43" s="34"/>
      <c r="E43" s="34"/>
      <c r="F43" s="34"/>
      <c r="G43" s="33">
        <f>G40+G41</f>
        <v>835.17313650290748</v>
      </c>
    </row>
    <row r="44" spans="1:8" ht="15.75" thickTop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Column Estimator</vt:lpstr>
      <vt:lpstr>Reinforcement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Ruel Cepaeda</dc:creator>
  <cp:lastModifiedBy>Ruel Cepaeda</cp:lastModifiedBy>
  <dcterms:created xsi:type="dcterms:W3CDTF">2026-03-02T09:58:04Z</dcterms:created>
  <dcterms:modified xsi:type="dcterms:W3CDTF">2026-03-02T13:17:01Z</dcterms:modified>
</cp:coreProperties>
</file>